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mTrans.com\Departments\P&amp;D_Prgm&amp;Monitor\1. Funding Programs\A2. Shuttle\2. Call for Projects\k. FY 2026-27\2_CFP Materials\2_Application\"/>
    </mc:Choice>
  </mc:AlternateContent>
  <xr:revisionPtr revIDLastSave="0" documentId="8_{881283ED-B888-4A6C-836B-FAF85C872977}" xr6:coauthVersionLast="47" xr6:coauthVersionMax="47" xr10:uidLastSave="{00000000-0000-0000-0000-000000000000}"/>
  <bookViews>
    <workbookView xWindow="-120" yWindow="-120" windowWidth="29040" windowHeight="17520" xr2:uid="{FDC9F30D-9ACE-479A-B84D-3A6E152A1D0F}"/>
  </bookViews>
  <sheets>
    <sheet name="Shuttle CFP FY 2026_2027" sheetId="1" r:id="rId1"/>
  </sheets>
  <definedNames>
    <definedName name="_xlnm.Print_Area" localSheetId="0">'Shuttle CFP FY 2026_2027'!$A$1:$J$87</definedName>
    <definedName name="_xlnm.Print_Titles" localSheetId="0">'Shuttle CFP FY 2026_2027'!$1:$4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B22" i="1"/>
  <c r="B20" i="1"/>
  <c r="D7" i="1" l="1"/>
  <c r="D24" i="1"/>
  <c r="F24" i="1" l="1"/>
  <c r="F62" i="1" s="1"/>
  <c r="F67" i="1" s="1"/>
  <c r="D62" i="1"/>
  <c r="D67" i="1" s="1"/>
  <c r="B24" i="1"/>
  <c r="B62" i="1" s="1"/>
  <c r="B67" i="1" s="1"/>
  <c r="B15" i="1" l="1"/>
  <c r="B17" i="1"/>
  <c r="B85" i="1"/>
  <c r="F81" i="1"/>
  <c r="J77" i="1"/>
  <c r="B71" i="1" l="1"/>
  <c r="B75" i="1" s="1"/>
  <c r="B79" i="1" s="1"/>
  <c r="D32" i="1" l="1"/>
  <c r="F51" i="1"/>
  <c r="F36" i="1"/>
  <c r="J47" i="1"/>
  <c r="B55" i="1"/>
  <c r="B49" i="1"/>
  <c r="F49" i="1" s="1"/>
  <c r="B40" i="1"/>
  <c r="B34" i="1"/>
  <c r="D13" i="1" l="1"/>
  <c r="D49" i="1"/>
  <c r="D11" i="1"/>
  <c r="D34" i="1"/>
  <c r="F34" i="1"/>
  <c r="I48" i="1"/>
  <c r="J48" i="1" s="1"/>
  <c r="J32" i="1"/>
  <c r="F13" i="1"/>
  <c r="F11" i="1"/>
  <c r="D71" i="1" l="1"/>
  <c r="D75" i="1" s="1"/>
  <c r="D79" i="1" s="1"/>
  <c r="B53" i="1"/>
  <c r="I51" i="1" s="1"/>
  <c r="J51" i="1" s="1"/>
  <c r="B38" i="1"/>
  <c r="I33" i="1"/>
  <c r="J33" i="1" s="1"/>
  <c r="F71" i="1" l="1"/>
  <c r="F75" i="1" s="1"/>
  <c r="F79" i="1" s="1"/>
  <c r="H51" i="1"/>
  <c r="I36" i="1"/>
  <c r="J36" i="1" s="1"/>
  <c r="H36" i="1"/>
  <c r="J78" i="1" l="1"/>
  <c r="B83" i="1"/>
  <c r="H81" i="1" l="1"/>
  <c r="I81" i="1"/>
  <c r="J81" i="1" s="1"/>
</calcChain>
</file>

<file path=xl/sharedStrings.xml><?xml version="1.0" encoding="utf-8"?>
<sst xmlns="http://schemas.openxmlformats.org/spreadsheetml/2006/main" count="93" uniqueCount="60">
  <si>
    <t>Shuttle Efficiency Template FY 2026 &amp; 2027</t>
  </si>
  <si>
    <t xml:space="preserve">Input requested data into the blue cells. </t>
  </si>
  <si>
    <t>Output is automated in the GREEN cells.</t>
  </si>
  <si>
    <t>Based on Service Day</t>
  </si>
  <si>
    <t>Monthly Estimate</t>
  </si>
  <si>
    <t>Annual Estimate</t>
  </si>
  <si>
    <t>BENCHMARK TARGETS</t>
  </si>
  <si>
    <t xml:space="preserve">Enter the Quantity of Service Days: </t>
  </si>
  <si>
    <t>(Subject to change based on FY 2024 performance)</t>
  </si>
  <si>
    <t>Service Type</t>
  </si>
  <si>
    <t>Cost/Passenger</t>
  </si>
  <si>
    <t>Pass. /Serv. Hr.</t>
  </si>
  <si>
    <r>
      <t xml:space="preserve">Enter Average </t>
    </r>
    <r>
      <rPr>
        <b/>
        <u/>
        <sz val="11"/>
        <color indexed="8"/>
        <rFont val="Calibri"/>
        <family val="2"/>
      </rPr>
      <t>Hourly</t>
    </r>
    <r>
      <rPr>
        <b/>
        <sz val="11"/>
        <color indexed="8"/>
        <rFont val="Calibri"/>
        <family val="2"/>
      </rPr>
      <t xml:space="preserve"> Service Rate</t>
    </r>
    <r>
      <rPr>
        <sz val="11"/>
        <color theme="1"/>
        <rFont val="Calibri"/>
        <family val="2"/>
        <scheme val="minor"/>
      </rPr>
      <t xml:space="preserve"> (include all related vendor expenses EXCEPT Fuel Surcharge)</t>
    </r>
    <r>
      <rPr>
        <b/>
        <sz val="11"/>
        <color indexed="8"/>
        <rFont val="Calibri"/>
        <family val="2"/>
      </rPr>
      <t>:</t>
    </r>
  </si>
  <si>
    <t>SamTrans Master Shuttle Contract Rate average is projected to be &gt; $200/hour         FY 2026/2027</t>
  </si>
  <si>
    <t>Commuter</t>
  </si>
  <si>
    <t>Community</t>
  </si>
  <si>
    <r>
      <t xml:space="preserve">Enter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Service Hour Quantity:</t>
    </r>
  </si>
  <si>
    <t>Door-to-Door</t>
  </si>
  <si>
    <r>
      <t xml:space="preserve">Enter Projected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Ridership:</t>
    </r>
  </si>
  <si>
    <t xml:space="preserve">Please note Sponsor contribution must be 25% or greater to be eligible. </t>
  </si>
  <si>
    <t>Projected Cost per Passenger:</t>
  </si>
  <si>
    <t>Projected Passengers per Service Hour:</t>
  </si>
  <si>
    <r>
      <t>Revenue Miles</t>
    </r>
    <r>
      <rPr>
        <sz val="11"/>
        <color theme="1"/>
        <rFont val="Calibri"/>
        <family val="2"/>
        <scheme val="minor"/>
      </rPr>
      <t xml:space="preserve"> (per Day)</t>
    </r>
  </si>
  <si>
    <t>Note:  Revenue Miles are all miles operated during the posted schedule - when there is an expectation to carry passengers.</t>
  </si>
  <si>
    <r>
      <t>Deadhead Miles</t>
    </r>
    <r>
      <rPr>
        <sz val="11"/>
        <color theme="1"/>
        <rFont val="Calibri"/>
        <family val="2"/>
        <scheme val="minor"/>
      </rPr>
      <t xml:space="preserve"> (to/from Yard per Day)</t>
    </r>
  </si>
  <si>
    <t>Note:  Deadhead Miles are all miles operated going to or from the scheduled schedule - to/from yard - when there is no expectation of carrying passengers.</t>
  </si>
  <si>
    <t>Total Miles</t>
  </si>
  <si>
    <t>I am calculating Fuel Surcharge based on (insert "X"):</t>
  </si>
  <si>
    <t>A. Monthly</t>
  </si>
  <si>
    <t>B. Annual Rev Hrs (Preferred)</t>
  </si>
  <si>
    <r>
      <t xml:space="preserve">A. Per Month Fuel Surcharge </t>
    </r>
    <r>
      <rPr>
        <b/>
        <i/>
        <sz val="11"/>
        <color rgb="FFFF0000"/>
        <rFont val="Calibri"/>
        <family val="2"/>
        <scheme val="minor"/>
      </rPr>
      <t>(Don't use if calculating based on B or C.)</t>
    </r>
  </si>
  <si>
    <t>FUNDING</t>
  </si>
  <si>
    <t>TA-C/CAG
 Grant Request</t>
  </si>
  <si>
    <r>
      <t>Match</t>
    </r>
    <r>
      <rPr>
        <sz val="11"/>
        <color indexed="8"/>
        <rFont val="Calibri"/>
        <family val="2"/>
      </rPr>
      <t xml:space="preserve"> (Sponsor Contribution)</t>
    </r>
  </si>
  <si>
    <t>Daily</t>
  </si>
  <si>
    <t>Per Month</t>
  </si>
  <si>
    <t>Annual</t>
  </si>
  <si>
    <t>Per Month Fuel Surcharge:</t>
  </si>
  <si>
    <t>Enter Desired Grant Request %:</t>
  </si>
  <si>
    <t>Projected Service Cost:</t>
  </si>
  <si>
    <t>TA-C/CAG Grant Subsidy/Passenger</t>
  </si>
  <si>
    <t>Sponsor Subsidy/Passenger</t>
  </si>
  <si>
    <r>
      <t xml:space="preserve">Projected Support Costs </t>
    </r>
    <r>
      <rPr>
        <sz val="11"/>
        <color theme="1"/>
        <rFont val="Calibri"/>
        <family val="2"/>
        <scheme val="minor"/>
      </rPr>
      <t>(e.g. admin, marketing)</t>
    </r>
    <r>
      <rPr>
        <b/>
        <sz val="11"/>
        <color indexed="8"/>
        <rFont val="Calibri"/>
        <family val="2"/>
      </rPr>
      <t>:</t>
    </r>
  </si>
  <si>
    <t>Additional Fuel Surcharge Calculation table option below.</t>
  </si>
  <si>
    <t>OR</t>
  </si>
  <si>
    <r>
      <t xml:space="preserve">B. Per Annual Revenue Hour Fuel Surcharge  </t>
    </r>
    <r>
      <rPr>
        <b/>
        <i/>
        <sz val="11"/>
        <color rgb="FFFF0000"/>
        <rFont val="Calibri"/>
        <family val="2"/>
        <scheme val="minor"/>
      </rPr>
      <t>(Don't use if calculating based on A or C.)</t>
    </r>
  </si>
  <si>
    <t>Annual Revenue Hour Fuel Surcharge:</t>
  </si>
  <si>
    <r>
      <t xml:space="preserve">C. Per Annual Total Mileage Fuel Expense </t>
    </r>
    <r>
      <rPr>
        <b/>
        <i/>
        <sz val="11"/>
        <color rgb="FFFF0000"/>
        <rFont val="Calibri"/>
        <family val="2"/>
        <scheme val="minor"/>
      </rPr>
      <t>(Don't use if calculating based on A or B.)</t>
    </r>
  </si>
  <si>
    <t xml:space="preserve">Annual </t>
  </si>
  <si>
    <t>Estimated Average MPG</t>
  </si>
  <si>
    <t>Note: SamTrans contract averages 6.3 MPG (gasoline).</t>
  </si>
  <si>
    <t>Rounded Up</t>
  </si>
  <si>
    <t>Estimated Gallons Used</t>
  </si>
  <si>
    <t>Projected Fuel Cost Per Gallon</t>
  </si>
  <si>
    <t>Note:  Input assumed fuel cost per gallon.</t>
  </si>
  <si>
    <t>Projected Total Fuel Expense</t>
  </si>
  <si>
    <r>
      <t xml:space="preserve">Percentage of Fuel Expense Applied to Service                               </t>
    </r>
    <r>
      <rPr>
        <sz val="11"/>
        <color theme="1"/>
        <rFont val="Calibri"/>
        <family val="2"/>
        <scheme val="minor"/>
      </rPr>
      <t xml:space="preserve"> (Client Share)</t>
    </r>
  </si>
  <si>
    <t>Note:  Input 100% if client is responsible for all fuel expense in addition to base service expense.  Otherwise input contracted percentage share.</t>
  </si>
  <si>
    <r>
      <t xml:space="preserve">Projected Percentage of Fuel Expense Applied to Service </t>
    </r>
    <r>
      <rPr>
        <sz val="11"/>
        <color theme="1"/>
        <rFont val="Calibri"/>
        <family val="2"/>
        <scheme val="minor"/>
      </rPr>
      <t>(Client Share)</t>
    </r>
  </si>
  <si>
    <t>Service Expense plus Annual Total Mileage Fuel Expense: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</si>
</sst>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0" fillId="3" borderId="0" xfId="0" applyFill="1"/>
    <xf numFmtId="0" fontId="3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4" fillId="2" borderId="7" xfId="0" applyFont="1" applyFill="1" applyBorder="1" applyProtection="1">
      <protection locked="0"/>
    </xf>
    <xf numFmtId="0" fontId="4" fillId="0" borderId="0" xfId="0" applyFont="1"/>
    <xf numFmtId="0" fontId="2" fillId="6" borderId="5" xfId="0" applyFont="1" applyFill="1" applyBorder="1" applyAlignment="1">
      <alignment horizontal="center" wrapText="1"/>
    </xf>
    <xf numFmtId="9" fontId="4" fillId="2" borderId="7" xfId="3" applyFont="1" applyFill="1" applyBorder="1" applyAlignment="1" applyProtection="1">
      <alignment horizontal="center" wrapText="1"/>
      <protection locked="0"/>
    </xf>
    <xf numFmtId="0" fontId="2" fillId="0" borderId="0" xfId="0" applyFont="1"/>
    <xf numFmtId="8" fontId="2" fillId="3" borderId="9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43" fontId="4" fillId="2" borderId="7" xfId="1" applyFont="1" applyFill="1" applyBorder="1" applyProtection="1">
      <protection locked="0"/>
    </xf>
    <xf numFmtId="43" fontId="2" fillId="3" borderId="12" xfId="1" applyFont="1" applyFill="1" applyBorder="1" applyAlignment="1" applyProtection="1">
      <alignment wrapText="1"/>
    </xf>
    <xf numFmtId="43" fontId="1" fillId="0" borderId="0" xfId="1" applyFont="1" applyFill="1" applyBorder="1" applyProtection="1"/>
    <xf numFmtId="43" fontId="2" fillId="3" borderId="12" xfId="1" applyFont="1" applyFill="1" applyBorder="1" applyProtection="1"/>
    <xf numFmtId="43" fontId="2" fillId="0" borderId="0" xfId="1" applyFont="1" applyBorder="1" applyProtection="1"/>
    <xf numFmtId="8" fontId="2" fillId="3" borderId="14" xfId="0" applyNumberFormat="1" applyFont="1" applyFill="1" applyBorder="1" applyAlignment="1">
      <alignment horizontal="center"/>
    </xf>
    <xf numFmtId="8" fontId="2" fillId="3" borderId="15" xfId="0" applyNumberFormat="1" applyFont="1" applyFill="1" applyBorder="1" applyAlignment="1">
      <alignment horizontal="center"/>
    </xf>
    <xf numFmtId="8" fontId="2" fillId="3" borderId="16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Protection="1">
      <protection locked="0"/>
    </xf>
    <xf numFmtId="164" fontId="2" fillId="3" borderId="12" xfId="0" applyNumberFormat="1" applyFont="1" applyFill="1" applyBorder="1" applyAlignment="1">
      <alignment wrapText="1"/>
    </xf>
    <xf numFmtId="164" fontId="1" fillId="0" borderId="0" xfId="1" applyNumberFormat="1" applyFont="1" applyFill="1" applyBorder="1" applyProtection="1"/>
    <xf numFmtId="164" fontId="2" fillId="3" borderId="12" xfId="0" applyNumberFormat="1" applyFont="1" applyFill="1" applyBorder="1"/>
    <xf numFmtId="0" fontId="2" fillId="0" borderId="0" xfId="0" applyFont="1" applyAlignment="1">
      <alignment horizontal="right"/>
    </xf>
    <xf numFmtId="8" fontId="2" fillId="3" borderId="12" xfId="0" applyNumberFormat="1" applyFont="1" applyFill="1" applyBorder="1"/>
    <xf numFmtId="8" fontId="2" fillId="3" borderId="12" xfId="0" applyNumberFormat="1" applyFont="1" applyFill="1" applyBorder="1" applyAlignment="1">
      <alignment wrapText="1"/>
    </xf>
    <xf numFmtId="44" fontId="1" fillId="0" borderId="0" xfId="2" applyFont="1" applyFill="1" applyBorder="1" applyProtection="1"/>
    <xf numFmtId="0" fontId="0" fillId="4" borderId="17" xfId="0" applyFill="1" applyBorder="1"/>
    <xf numFmtId="0" fontId="2" fillId="4" borderId="18" xfId="0" applyFont="1" applyFill="1" applyBorder="1"/>
    <xf numFmtId="0" fontId="0" fillId="4" borderId="19" xfId="0" applyFill="1" applyBorder="1"/>
    <xf numFmtId="0" fontId="0" fillId="4" borderId="6" xfId="0" applyFill="1" applyBorder="1"/>
    <xf numFmtId="0" fontId="5" fillId="4" borderId="5" xfId="0" applyFont="1" applyFill="1" applyBorder="1"/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7" fontId="1" fillId="0" borderId="0" xfId="2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2" fillId="3" borderId="12" xfId="0" applyNumberFormat="1" applyFont="1" applyFill="1" applyBorder="1"/>
    <xf numFmtId="0" fontId="0" fillId="0" borderId="14" xfId="0" applyBorder="1"/>
    <xf numFmtId="7" fontId="1" fillId="0" borderId="22" xfId="2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44" fontId="2" fillId="0" borderId="0" xfId="0" applyNumberFormat="1" applyFont="1"/>
    <xf numFmtId="9" fontId="2" fillId="6" borderId="8" xfId="0" applyNumberFormat="1" applyFont="1" applyFill="1" applyBorder="1" applyAlignment="1">
      <alignment horizontal="center" wrapText="1"/>
    </xf>
    <xf numFmtId="0" fontId="4" fillId="0" borderId="18" xfId="0" applyFont="1" applyBorder="1"/>
    <xf numFmtId="0" fontId="0" fillId="0" borderId="18" xfId="0" applyBorder="1"/>
    <xf numFmtId="0" fontId="2" fillId="0" borderId="18" xfId="0" applyFont="1" applyBorder="1"/>
    <xf numFmtId="0" fontId="0" fillId="0" borderId="19" xfId="0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4" xfId="0" applyFont="1" applyBorder="1"/>
    <xf numFmtId="0" fontId="2" fillId="0" borderId="22" xfId="0" applyFont="1" applyBorder="1"/>
    <xf numFmtId="44" fontId="2" fillId="0" borderId="22" xfId="0" applyNumberFormat="1" applyFont="1" applyBorder="1"/>
    <xf numFmtId="0" fontId="0" fillId="0" borderId="22" xfId="0" applyBorder="1"/>
    <xf numFmtId="0" fontId="0" fillId="0" borderId="23" xfId="0" applyBorder="1"/>
    <xf numFmtId="44" fontId="2" fillId="0" borderId="18" xfId="0" applyNumberFormat="1" applyFont="1" applyBorder="1"/>
    <xf numFmtId="8" fontId="4" fillId="0" borderId="0" xfId="2" applyNumberFormat="1" applyFont="1" applyFill="1" applyBorder="1" applyProtection="1">
      <protection locked="0"/>
    </xf>
    <xf numFmtId="7" fontId="1" fillId="0" borderId="18" xfId="2" applyNumberFormat="1" applyFont="1" applyBorder="1" applyAlignment="1">
      <alignment horizontal="center"/>
    </xf>
    <xf numFmtId="0" fontId="10" fillId="7" borderId="0" xfId="0" applyFont="1" applyFill="1" applyAlignment="1">
      <alignment horizontal="center"/>
    </xf>
    <xf numFmtId="164" fontId="4" fillId="0" borderId="0" xfId="1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7" fontId="11" fillId="7" borderId="0" xfId="2" applyNumberFormat="1" applyFont="1" applyFill="1" applyBorder="1" applyAlignment="1">
      <alignment horizontal="center"/>
    </xf>
    <xf numFmtId="44" fontId="10" fillId="7" borderId="0" xfId="0" applyNumberFormat="1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9" fillId="7" borderId="22" xfId="0" applyFont="1" applyFill="1" applyBorder="1"/>
    <xf numFmtId="0" fontId="9" fillId="7" borderId="23" xfId="0" applyFont="1" applyFill="1" applyBorder="1"/>
    <xf numFmtId="0" fontId="10" fillId="7" borderId="22" xfId="0" applyFont="1" applyFill="1" applyBorder="1"/>
    <xf numFmtId="0" fontId="12" fillId="7" borderId="0" xfId="0" applyFont="1" applyFill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44" fontId="2" fillId="3" borderId="12" xfId="0" applyNumberFormat="1" applyFont="1" applyFill="1" applyBorder="1" applyAlignment="1">
      <alignment horizontal="center"/>
    </xf>
    <xf numFmtId="44" fontId="2" fillId="3" borderId="12" xfId="2" applyFont="1" applyFill="1" applyBorder="1" applyAlignment="1" applyProtection="1">
      <alignment horizontal="center"/>
    </xf>
    <xf numFmtId="44" fontId="2" fillId="3" borderId="12" xfId="2" applyFont="1" applyFill="1" applyBorder="1" applyAlignment="1" applyProtection="1">
      <alignment horizontal="center" wrapText="1"/>
    </xf>
    <xf numFmtId="44" fontId="2" fillId="3" borderId="12" xfId="0" applyNumberFormat="1" applyFont="1" applyFill="1" applyBorder="1" applyAlignment="1">
      <alignment horizontal="center" wrapText="1"/>
    </xf>
    <xf numFmtId="0" fontId="3" fillId="8" borderId="2" xfId="0" applyFont="1" applyFill="1" applyBorder="1" applyAlignment="1">
      <alignment vertical="top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0" fillId="8" borderId="5" xfId="0" applyFill="1" applyBorder="1"/>
    <xf numFmtId="0" fontId="0" fillId="8" borderId="6" xfId="0" applyFill="1" applyBorder="1"/>
    <xf numFmtId="0" fontId="2" fillId="3" borderId="12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/>
      <protection locked="0"/>
    </xf>
    <xf numFmtId="164" fontId="2" fillId="3" borderId="12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0" fontId="0" fillId="0" borderId="27" xfId="0" applyBorder="1"/>
    <xf numFmtId="164" fontId="2" fillId="0" borderId="27" xfId="0" applyNumberFormat="1" applyFont="1" applyBorder="1" applyAlignment="1">
      <alignment wrapText="1"/>
    </xf>
    <xf numFmtId="164" fontId="1" fillId="0" borderId="27" xfId="1" applyNumberFormat="1" applyFont="1" applyFill="1" applyBorder="1" applyProtection="1"/>
    <xf numFmtId="164" fontId="2" fillId="0" borderId="28" xfId="0" applyNumberFormat="1" applyFont="1" applyBorder="1"/>
    <xf numFmtId="0" fontId="2" fillId="0" borderId="29" xfId="0" applyFont="1" applyBorder="1" applyAlignment="1">
      <alignment horizontal="center" wrapText="1"/>
    </xf>
    <xf numFmtId="0" fontId="0" fillId="0" borderId="29" xfId="0" applyBorder="1"/>
    <xf numFmtId="164" fontId="4" fillId="0" borderId="30" xfId="1" applyNumberFormat="1" applyFont="1" applyFill="1" applyBorder="1" applyProtection="1">
      <protection locked="0"/>
    </xf>
    <xf numFmtId="0" fontId="0" fillId="0" borderId="30" xfId="0" applyBorder="1"/>
    <xf numFmtId="164" fontId="2" fillId="0" borderId="30" xfId="0" applyNumberFormat="1" applyFont="1" applyBorder="1" applyAlignment="1">
      <alignment wrapText="1"/>
    </xf>
    <xf numFmtId="164" fontId="1" fillId="0" borderId="30" xfId="1" applyNumberFormat="1" applyFont="1" applyFill="1" applyBorder="1" applyProtection="1"/>
    <xf numFmtId="164" fontId="2" fillId="0" borderId="31" xfId="0" applyNumberFormat="1" applyFont="1" applyBorder="1"/>
    <xf numFmtId="0" fontId="0" fillId="0" borderId="2" xfId="0" applyBorder="1"/>
    <xf numFmtId="0" fontId="5" fillId="4" borderId="3" xfId="0" applyFont="1" applyFill="1" applyBorder="1" applyAlignment="1">
      <alignment horizontal="center" wrapText="1"/>
    </xf>
    <xf numFmtId="0" fontId="0" fillId="4" borderId="3" xfId="0" applyFill="1" applyBorder="1"/>
    <xf numFmtId="0" fontId="2" fillId="0" borderId="5" xfId="0" applyFont="1" applyBorder="1"/>
    <xf numFmtId="43" fontId="1" fillId="0" borderId="0" xfId="1" applyFont="1" applyBorder="1"/>
    <xf numFmtId="0" fontId="0" fillId="0" borderId="6" xfId="0" applyBorder="1" applyAlignment="1">
      <alignment horizontal="center" wrapText="1"/>
    </xf>
    <xf numFmtId="0" fontId="2" fillId="0" borderId="14" xfId="0" applyFont="1" applyBorder="1" applyAlignment="1">
      <alignment horizontal="right"/>
    </xf>
    <xf numFmtId="0" fontId="4" fillId="0" borderId="22" xfId="0" applyFont="1" applyBorder="1"/>
    <xf numFmtId="164" fontId="4" fillId="0" borderId="27" xfId="1" applyNumberFormat="1" applyFont="1" applyFill="1" applyBorder="1" applyProtection="1">
      <protection locked="0"/>
    </xf>
    <xf numFmtId="164" fontId="2" fillId="0" borderId="30" xfId="0" applyNumberFormat="1" applyFont="1" applyBorder="1"/>
    <xf numFmtId="0" fontId="2" fillId="0" borderId="27" xfId="0" applyFont="1" applyBorder="1" applyAlignment="1" applyProtection="1">
      <alignment horizontal="center"/>
      <protection locked="0"/>
    </xf>
    <xf numFmtId="0" fontId="14" fillId="8" borderId="5" xfId="0" applyFont="1" applyFill="1" applyBorder="1"/>
    <xf numFmtId="44" fontId="2" fillId="2" borderId="12" xfId="2" applyFont="1" applyFill="1" applyBorder="1" applyAlignment="1" applyProtection="1">
      <alignment horizontal="center"/>
      <protection locked="0"/>
    </xf>
    <xf numFmtId="0" fontId="15" fillId="4" borderId="5" xfId="0" applyFont="1" applyFill="1" applyBorder="1"/>
    <xf numFmtId="8" fontId="2" fillId="2" borderId="7" xfId="0" applyNumberFormat="1" applyFont="1" applyFill="1" applyBorder="1" applyAlignment="1" applyProtection="1">
      <alignment wrapText="1"/>
      <protection locked="0"/>
    </xf>
    <xf numFmtId="8" fontId="2" fillId="2" borderId="7" xfId="0" applyNumberFormat="1" applyFont="1" applyFill="1" applyBorder="1" applyProtection="1">
      <protection locked="0"/>
    </xf>
    <xf numFmtId="166" fontId="4" fillId="2" borderId="7" xfId="2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9" fontId="4" fillId="2" borderId="7" xfId="3" applyFont="1" applyFill="1" applyBorder="1" applyAlignment="1" applyProtection="1">
      <alignment horizontal="center" vertical="center" wrapText="1"/>
      <protection locked="0"/>
    </xf>
    <xf numFmtId="9" fontId="2" fillId="2" borderId="12" xfId="0" applyNumberFormat="1" applyFont="1" applyFill="1" applyBorder="1" applyAlignment="1" applyProtection="1">
      <alignment horizontal="center" vertical="center"/>
      <protection locked="0"/>
    </xf>
    <xf numFmtId="44" fontId="0" fillId="0" borderId="0" xfId="2" applyFont="1"/>
    <xf numFmtId="0" fontId="0" fillId="0" borderId="0" xfId="0" applyAlignment="1">
      <alignment horizontal="center"/>
    </xf>
    <xf numFmtId="0" fontId="2" fillId="4" borderId="0" xfId="0" applyFont="1" applyFill="1"/>
    <xf numFmtId="0" fontId="4" fillId="5" borderId="0" xfId="0" applyFont="1" applyFill="1" applyProtection="1">
      <protection locked="0"/>
    </xf>
    <xf numFmtId="8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8" fontId="2" fillId="0" borderId="0" xfId="0" applyNumberFormat="1" applyFont="1"/>
    <xf numFmtId="0" fontId="2" fillId="0" borderId="32" xfId="0" applyFont="1" applyBorder="1" applyAlignment="1">
      <alignment horizontal="right" wrapText="1"/>
    </xf>
    <xf numFmtId="165" fontId="2" fillId="0" borderId="0" xfId="0" applyNumberFormat="1" applyFont="1"/>
    <xf numFmtId="0" fontId="2" fillId="0" borderId="33" xfId="0" applyFont="1" applyBorder="1" applyAlignment="1">
      <alignment horizontal="right" wrapTex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8" fontId="2" fillId="0" borderId="0" xfId="0" applyNumberFormat="1" applyFont="1" applyAlignment="1">
      <alignment wrapText="1"/>
    </xf>
    <xf numFmtId="0" fontId="0" fillId="8" borderId="0" xfId="0" applyFill="1"/>
    <xf numFmtId="164" fontId="0" fillId="0" borderId="0" xfId="0" applyNumberFormat="1"/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Alignment="1">
      <alignment horizontal="center" wrapText="1"/>
    </xf>
    <xf numFmtId="0" fontId="10" fillId="7" borderId="17" xfId="0" applyFont="1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14" xfId="0" applyFill="1" applyBorder="1" applyAlignment="1">
      <alignment horizontal="center" wrapText="1"/>
    </xf>
    <xf numFmtId="0" fontId="0" fillId="7" borderId="22" xfId="0" applyFill="1" applyBorder="1" applyAlignment="1">
      <alignment horizontal="center" wrapText="1"/>
    </xf>
    <xf numFmtId="0" fontId="0" fillId="7" borderId="23" xfId="0" applyFill="1" applyBorder="1" applyAlignment="1">
      <alignment horizontal="center" wrapText="1"/>
    </xf>
    <xf numFmtId="0" fontId="13" fillId="7" borderId="24" xfId="0" applyFont="1" applyFill="1" applyBorder="1" applyAlignment="1">
      <alignment horizontal="center" wrapText="1"/>
    </xf>
    <xf numFmtId="0" fontId="13" fillId="7" borderId="25" xfId="0" applyFont="1" applyFill="1" applyBorder="1" applyAlignment="1">
      <alignment horizontal="center" wrapText="1"/>
    </xf>
    <xf numFmtId="0" fontId="13" fillId="7" borderId="26" xfId="0" applyFont="1" applyFill="1" applyBorder="1" applyAlignment="1">
      <alignment horizontal="center" wrapText="1"/>
    </xf>
    <xf numFmtId="0" fontId="14" fillId="8" borderId="5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6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8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499D-5BD0-4166-859C-EF94429AAE21}">
  <dimension ref="A1:O86"/>
  <sheetViews>
    <sheetView tabSelected="1" zoomScaleNormal="100" workbookViewId="0">
      <selection activeCell="Q20" sqref="Q20"/>
    </sheetView>
  </sheetViews>
  <sheetFormatPr defaultRowHeight="15"/>
  <cols>
    <col min="1" max="1" width="49.140625" customWidth="1"/>
    <col min="2" max="2" width="12.7109375" customWidth="1"/>
    <col min="3" max="3" width="2.7109375" customWidth="1"/>
    <col min="4" max="4" width="13.7109375" customWidth="1"/>
    <col min="5" max="5" width="2.7109375" customWidth="1"/>
    <col min="6" max="6" width="15.28515625" customWidth="1"/>
    <col min="7" max="7" width="2.7109375" customWidth="1"/>
    <col min="8" max="8" width="19.7109375" customWidth="1"/>
    <col min="9" max="9" width="18.7109375" customWidth="1"/>
    <col min="10" max="10" width="17.7109375" customWidth="1"/>
    <col min="12" max="12" width="11.140625" customWidth="1"/>
    <col min="13" max="13" width="12.7109375" customWidth="1"/>
    <col min="14" max="14" width="2.7109375" customWidth="1"/>
    <col min="15" max="15" width="13.7109375" customWidth="1"/>
    <col min="16" max="16" width="2.7109375" customWidth="1"/>
    <col min="17" max="17" width="15.28515625" customWidth="1"/>
    <col min="18" max="18" width="2.7109375" customWidth="1"/>
    <col min="19" max="19" width="19.7109375" customWidth="1"/>
    <col min="20" max="20" width="18.7109375" customWidth="1"/>
    <col min="21" max="21" width="17.7109375" customWidth="1"/>
  </cols>
  <sheetData>
    <row r="1" spans="1:15" ht="18.75">
      <c r="A1" s="1" t="s">
        <v>0</v>
      </c>
      <c r="B1" s="1"/>
    </row>
    <row r="3" spans="1:15">
      <c r="A3" s="2" t="s">
        <v>1</v>
      </c>
      <c r="B3" s="3" t="s">
        <v>2</v>
      </c>
      <c r="C3" s="4"/>
      <c r="D3" s="4"/>
      <c r="E3" s="4"/>
      <c r="F3" s="4"/>
    </row>
    <row r="4" spans="1:15" ht="15.75" thickBot="1"/>
    <row r="5" spans="1:15" ht="31.5">
      <c r="A5" s="101"/>
      <c r="B5" s="102" t="s">
        <v>3</v>
      </c>
      <c r="C5" s="103"/>
      <c r="D5" s="102" t="s">
        <v>4</v>
      </c>
      <c r="E5" s="102"/>
      <c r="F5" s="102" t="s">
        <v>5</v>
      </c>
      <c r="G5" s="102"/>
      <c r="H5" s="36"/>
      <c r="I5" s="37"/>
      <c r="J5" s="38"/>
    </row>
    <row r="6" spans="1:15" ht="16.5" thickBot="1">
      <c r="A6" s="8"/>
      <c r="H6" s="40" t="s">
        <v>6</v>
      </c>
      <c r="I6" s="125"/>
      <c r="J6" s="39"/>
      <c r="L6" s="149"/>
      <c r="M6" s="149"/>
      <c r="N6" s="149"/>
      <c r="O6" s="149"/>
    </row>
    <row r="7" spans="1:15" ht="16.5" thickBot="1">
      <c r="A7" s="57" t="s">
        <v>7</v>
      </c>
      <c r="B7" s="126"/>
      <c r="D7" s="21">
        <f>$F$7/12</f>
        <v>21.25</v>
      </c>
      <c r="F7" s="10">
        <v>255</v>
      </c>
      <c r="G7" s="11"/>
      <c r="H7" s="114" t="s">
        <v>8</v>
      </c>
      <c r="I7" s="125"/>
      <c r="J7" s="39"/>
      <c r="L7" s="149"/>
      <c r="M7" s="149"/>
      <c r="N7" s="149"/>
      <c r="O7" s="149"/>
    </row>
    <row r="8" spans="1:15" ht="15.75" thickBot="1">
      <c r="A8" s="104"/>
      <c r="D8" s="14"/>
      <c r="H8" s="41" t="s">
        <v>9</v>
      </c>
      <c r="I8" s="42" t="s">
        <v>10</v>
      </c>
      <c r="J8" s="43" t="s">
        <v>11</v>
      </c>
      <c r="L8" s="149"/>
      <c r="M8" s="149"/>
      <c r="N8" s="149"/>
      <c r="O8" s="149"/>
    </row>
    <row r="9" spans="1:15" ht="39" customHeight="1" thickBot="1">
      <c r="A9" s="57" t="s">
        <v>12</v>
      </c>
      <c r="B9" s="117">
        <v>215</v>
      </c>
      <c r="C9" s="127"/>
      <c r="D9" s="158" t="s">
        <v>13</v>
      </c>
      <c r="E9" s="159"/>
      <c r="F9" s="160"/>
      <c r="H9" s="8" t="s">
        <v>14</v>
      </c>
      <c r="I9" s="44">
        <v>15</v>
      </c>
      <c r="J9" s="45">
        <v>15</v>
      </c>
      <c r="L9" s="150"/>
      <c r="M9" s="149"/>
      <c r="N9" s="149"/>
      <c r="O9" s="150"/>
    </row>
    <row r="10" spans="1:15" ht="15.75" thickBot="1">
      <c r="A10" s="104"/>
      <c r="B10" s="11"/>
      <c r="D10" s="14"/>
      <c r="H10" s="8" t="s">
        <v>15</v>
      </c>
      <c r="I10" s="44">
        <v>22</v>
      </c>
      <c r="J10" s="45">
        <v>10</v>
      </c>
      <c r="L10" s="150"/>
      <c r="M10" s="149"/>
      <c r="N10" s="149"/>
      <c r="O10" s="149"/>
    </row>
    <row r="11" spans="1:15" ht="15.75" thickBot="1">
      <c r="A11" s="57" t="s">
        <v>16</v>
      </c>
      <c r="B11" s="20">
        <v>6</v>
      </c>
      <c r="C11" s="105"/>
      <c r="D11" s="21">
        <f>B11*D7</f>
        <v>127.5</v>
      </c>
      <c r="E11" s="22"/>
      <c r="F11" s="23">
        <f>B11*F7</f>
        <v>1530</v>
      </c>
      <c r="G11" s="24"/>
      <c r="H11" s="47" t="s">
        <v>17</v>
      </c>
      <c r="I11" s="48">
        <v>115</v>
      </c>
      <c r="J11" s="49">
        <v>2</v>
      </c>
      <c r="L11" s="150"/>
      <c r="M11" s="149"/>
      <c r="N11" s="149"/>
      <c r="O11" s="149"/>
    </row>
    <row r="12" spans="1:15" ht="15.75" thickBot="1">
      <c r="A12" s="104"/>
      <c r="B12" s="11"/>
      <c r="D12" s="14"/>
      <c r="J12" s="9"/>
      <c r="L12" s="149"/>
      <c r="M12" s="149"/>
      <c r="N12" s="149"/>
      <c r="O12" s="149"/>
    </row>
    <row r="13" spans="1:15" ht="15.75" thickBot="1">
      <c r="A13" s="57" t="s">
        <v>18</v>
      </c>
      <c r="B13" s="28">
        <v>90</v>
      </c>
      <c r="D13" s="29">
        <f>B13*D7</f>
        <v>1912.5</v>
      </c>
      <c r="E13" s="30"/>
      <c r="F13" s="31">
        <f>B13*F7</f>
        <v>22950</v>
      </c>
      <c r="G13" s="128"/>
      <c r="H13" s="152" t="s">
        <v>19</v>
      </c>
      <c r="I13" s="153"/>
      <c r="J13" s="154"/>
    </row>
    <row r="14" spans="1:15" ht="15.75" thickBot="1">
      <c r="A14" s="57"/>
      <c r="B14" s="67"/>
      <c r="D14" s="129"/>
      <c r="E14" s="30"/>
      <c r="F14" s="128"/>
      <c r="G14" s="128"/>
      <c r="H14" s="155"/>
      <c r="I14" s="156"/>
      <c r="J14" s="157"/>
      <c r="L14" s="124"/>
      <c r="M14" s="124"/>
    </row>
    <row r="15" spans="1:15">
      <c r="A15" s="56" t="s">
        <v>20</v>
      </c>
      <c r="B15" s="33">
        <f>(B9*B11)/B13</f>
        <v>14.333333333333334</v>
      </c>
      <c r="D15" s="129"/>
      <c r="E15" s="30"/>
      <c r="F15" s="128"/>
      <c r="G15" s="128"/>
      <c r="H15" s="151"/>
      <c r="I15" s="151"/>
      <c r="J15" s="106"/>
      <c r="L15" s="44"/>
      <c r="M15" s="123"/>
    </row>
    <row r="16" spans="1:15">
      <c r="A16" s="56"/>
      <c r="B16" s="130"/>
      <c r="D16" s="129"/>
      <c r="E16" s="30"/>
      <c r="F16" s="128"/>
      <c r="G16" s="128"/>
      <c r="H16" s="151"/>
      <c r="I16" s="151"/>
      <c r="J16" s="106"/>
      <c r="L16" s="44"/>
      <c r="M16" s="123"/>
    </row>
    <row r="17" spans="1:13">
      <c r="A17" s="57" t="s">
        <v>21</v>
      </c>
      <c r="B17" s="46">
        <f>$B$13/$B$11</f>
        <v>15</v>
      </c>
      <c r="D17" s="129"/>
      <c r="E17" s="30"/>
      <c r="F17" s="128"/>
      <c r="G17" s="128"/>
      <c r="H17" s="151"/>
      <c r="I17" s="151"/>
      <c r="J17" s="106"/>
      <c r="L17" s="44"/>
      <c r="M17" s="123"/>
    </row>
    <row r="18" spans="1:13">
      <c r="A18" s="131"/>
      <c r="B18" s="132"/>
      <c r="D18" s="129"/>
      <c r="E18" s="30"/>
      <c r="F18" s="110"/>
      <c r="G18" s="128"/>
      <c r="H18" s="151"/>
      <c r="I18" s="151"/>
      <c r="J18" s="106"/>
    </row>
    <row r="19" spans="1:13">
      <c r="A19" s="133"/>
      <c r="B19" s="109"/>
      <c r="C19" s="90"/>
      <c r="D19" s="91"/>
      <c r="E19" s="92"/>
      <c r="F19" s="93"/>
      <c r="G19" s="128"/>
      <c r="H19" s="151"/>
      <c r="I19" s="151"/>
      <c r="J19" s="106"/>
    </row>
    <row r="20" spans="1:13" ht="39" customHeight="1">
      <c r="A20" s="134" t="s">
        <v>22</v>
      </c>
      <c r="B20" s="118">
        <f>2*65</f>
        <v>130</v>
      </c>
      <c r="D20" s="135"/>
      <c r="F20" s="94"/>
      <c r="G20" s="128"/>
      <c r="H20" s="164" t="s">
        <v>23</v>
      </c>
      <c r="I20" s="165"/>
      <c r="J20" s="166"/>
    </row>
    <row r="21" spans="1:13">
      <c r="A21" s="134"/>
      <c r="B21" s="119"/>
      <c r="D21" s="135"/>
      <c r="F21" s="94"/>
      <c r="G21" s="128"/>
      <c r="H21" s="151"/>
      <c r="I21" s="151"/>
      <c r="J21" s="106"/>
    </row>
    <row r="22" spans="1:13" ht="39" customHeight="1">
      <c r="A22" s="134" t="s">
        <v>24</v>
      </c>
      <c r="B22" s="118">
        <f>2*12</f>
        <v>24</v>
      </c>
      <c r="F22" s="95"/>
      <c r="G22" s="128"/>
      <c r="H22" s="164" t="s">
        <v>25</v>
      </c>
      <c r="I22" s="165"/>
      <c r="J22" s="166"/>
    </row>
    <row r="23" spans="1:13">
      <c r="A23" s="56"/>
      <c r="B23" s="42"/>
      <c r="F23" s="95"/>
      <c r="G23" s="128"/>
      <c r="H23" s="151"/>
      <c r="I23" s="151"/>
      <c r="J23" s="106"/>
    </row>
    <row r="24" spans="1:13">
      <c r="A24" s="56" t="s">
        <v>26</v>
      </c>
      <c r="B24" s="86">
        <f>SUM(B20:B22)</f>
        <v>154</v>
      </c>
      <c r="D24" s="88">
        <f>(B20+B22)*$D$7</f>
        <v>3272.5</v>
      </c>
      <c r="F24" s="89">
        <f>$D$24*12</f>
        <v>39270</v>
      </c>
      <c r="G24" s="128"/>
      <c r="H24" s="151"/>
      <c r="I24" s="151"/>
      <c r="J24" s="106"/>
    </row>
    <row r="25" spans="1:13">
      <c r="A25" s="131"/>
      <c r="B25" s="96"/>
      <c r="C25" s="97"/>
      <c r="D25" s="98"/>
      <c r="E25" s="99"/>
      <c r="F25" s="100"/>
      <c r="G25" s="128"/>
      <c r="H25" s="151"/>
      <c r="I25" s="151"/>
      <c r="J25" s="106"/>
    </row>
    <row r="26" spans="1:13" ht="15.75" thickBot="1">
      <c r="A26" s="57"/>
      <c r="B26" s="67"/>
      <c r="D26" s="129"/>
      <c r="E26" s="30"/>
      <c r="F26" s="128"/>
      <c r="G26" s="128"/>
      <c r="H26" s="151"/>
      <c r="I26" s="151"/>
      <c r="J26" s="106"/>
    </row>
    <row r="27" spans="1:13" ht="15.75" thickBot="1">
      <c r="A27" s="57" t="s">
        <v>27</v>
      </c>
      <c r="B27" s="67"/>
      <c r="C27" s="28"/>
      <c r="D27" s="136" t="s">
        <v>28</v>
      </c>
      <c r="E27" s="28">
        <v>80</v>
      </c>
      <c r="F27" s="137" t="s">
        <v>29</v>
      </c>
      <c r="J27" s="9"/>
    </row>
    <row r="28" spans="1:13" ht="15.75" thickBot="1">
      <c r="A28" s="107"/>
      <c r="B28" s="108"/>
      <c r="C28" s="61"/>
      <c r="D28" s="59"/>
      <c r="E28" s="61"/>
      <c r="F28" s="61"/>
      <c r="G28" s="61"/>
      <c r="H28" s="61"/>
      <c r="I28" s="61"/>
      <c r="J28" s="62"/>
    </row>
    <row r="29" spans="1:13" ht="15.75" thickBot="1">
      <c r="A29" s="32"/>
      <c r="B29" s="11"/>
      <c r="D29" s="14"/>
    </row>
    <row r="30" spans="1:13" ht="30">
      <c r="A30" s="148" t="s">
        <v>30</v>
      </c>
      <c r="B30" s="52"/>
      <c r="C30" s="53"/>
      <c r="D30" s="54"/>
      <c r="E30" s="53"/>
      <c r="F30" s="53"/>
      <c r="G30" s="55"/>
      <c r="H30" s="5" t="s">
        <v>31</v>
      </c>
      <c r="I30" s="6" t="s">
        <v>32</v>
      </c>
      <c r="J30" s="7" t="s">
        <v>33</v>
      </c>
      <c r="K30" s="68"/>
    </row>
    <row r="31" spans="1:13" ht="15.75" thickBot="1">
      <c r="A31" s="56"/>
      <c r="B31" s="135" t="s">
        <v>34</v>
      </c>
      <c r="D31" s="135" t="s">
        <v>35</v>
      </c>
      <c r="F31" s="138" t="s">
        <v>36</v>
      </c>
      <c r="G31" s="9"/>
      <c r="H31" s="8"/>
      <c r="J31" s="9"/>
    </row>
    <row r="32" spans="1:13" ht="30.75" thickBot="1">
      <c r="A32" s="56" t="s">
        <v>37</v>
      </c>
      <c r="B32" s="11"/>
      <c r="D32" s="120">
        <f>(5.76*B11*F7)/12</f>
        <v>734.40000000000009</v>
      </c>
      <c r="F32" s="64"/>
      <c r="G32" s="9"/>
      <c r="H32" s="12" t="s">
        <v>38</v>
      </c>
      <c r="I32" s="121">
        <v>0.75</v>
      </c>
      <c r="J32" s="51">
        <f>1-I32</f>
        <v>0.25</v>
      </c>
    </row>
    <row r="33" spans="1:10">
      <c r="A33" s="56"/>
      <c r="B33" s="11"/>
      <c r="D33" s="14"/>
      <c r="G33" s="9"/>
      <c r="H33" s="8"/>
      <c r="I33" s="15">
        <f>(F34+F36)*I32</f>
        <v>262322.09999999998</v>
      </c>
      <c r="J33" s="16">
        <f>(F34+F36)-I33</f>
        <v>87440.700000000012</v>
      </c>
    </row>
    <row r="34" spans="1:10">
      <c r="A34" s="56" t="s">
        <v>39</v>
      </c>
      <c r="B34" s="33">
        <f>$B$9*$B$11</f>
        <v>1290</v>
      </c>
      <c r="D34" s="34">
        <f>($B$9*$B$11*$D$7)+D32</f>
        <v>28146.9</v>
      </c>
      <c r="E34" s="35"/>
      <c r="F34" s="33">
        <f>B34*F7+(D32*12)</f>
        <v>337762.8</v>
      </c>
      <c r="G34" s="130"/>
      <c r="H34" s="8"/>
      <c r="J34" s="9"/>
    </row>
    <row r="35" spans="1:10" ht="45.75" thickBot="1">
      <c r="A35" s="56"/>
      <c r="B35" s="130"/>
      <c r="D35" s="139"/>
      <c r="E35" s="35"/>
      <c r="F35" s="130"/>
      <c r="G35" s="130"/>
      <c r="H35" s="17" t="s">
        <v>10</v>
      </c>
      <c r="I35" s="18" t="s">
        <v>40</v>
      </c>
      <c r="J35" s="19" t="s">
        <v>41</v>
      </c>
    </row>
    <row r="36" spans="1:10" ht="15.75" thickBot="1">
      <c r="A36" s="56" t="s">
        <v>42</v>
      </c>
      <c r="B36" s="130"/>
      <c r="D36" s="115">
        <v>1000</v>
      </c>
      <c r="E36" s="35"/>
      <c r="F36" s="116">
        <f>D36*12</f>
        <v>12000</v>
      </c>
      <c r="G36" s="130"/>
      <c r="H36" s="25">
        <f>B38</f>
        <v>15.240209150326796</v>
      </c>
      <c r="I36" s="26">
        <f>B38*I32</f>
        <v>11.430156862745097</v>
      </c>
      <c r="J36" s="27">
        <f>B38-I36</f>
        <v>3.8100522875816996</v>
      </c>
    </row>
    <row r="37" spans="1:10">
      <c r="A37" s="56"/>
      <c r="J37" s="9"/>
    </row>
    <row r="38" spans="1:10">
      <c r="A38" s="56" t="s">
        <v>20</v>
      </c>
      <c r="B38" s="33">
        <f>(F34+F36)/$F$13</f>
        <v>15.240209150326796</v>
      </c>
      <c r="G38" s="14"/>
      <c r="J38" s="9"/>
    </row>
    <row r="39" spans="1:10">
      <c r="A39" s="56"/>
      <c r="B39" s="130"/>
      <c r="G39" s="135"/>
      <c r="J39" s="9"/>
    </row>
    <row r="40" spans="1:10">
      <c r="A40" s="57" t="s">
        <v>21</v>
      </c>
      <c r="B40" s="46">
        <f>$B$13/$B$11</f>
        <v>15</v>
      </c>
      <c r="G40" s="44"/>
      <c r="J40" s="9"/>
    </row>
    <row r="41" spans="1:10" ht="15.75" thickBot="1">
      <c r="A41" s="58"/>
      <c r="B41" s="59"/>
      <c r="C41" s="60"/>
      <c r="D41" s="61"/>
      <c r="E41" s="61"/>
      <c r="F41" s="61"/>
      <c r="G41" s="48"/>
      <c r="H41" s="74" t="s">
        <v>43</v>
      </c>
      <c r="I41" s="72"/>
      <c r="J41" s="73"/>
    </row>
    <row r="42" spans="1:10">
      <c r="A42" s="14"/>
      <c r="B42" s="14"/>
      <c r="C42" s="50"/>
      <c r="G42" s="44"/>
    </row>
    <row r="43" spans="1:10" ht="23.25">
      <c r="A43" s="75" t="s">
        <v>44</v>
      </c>
      <c r="B43" s="66"/>
      <c r="C43" s="70"/>
      <c r="D43" s="71"/>
      <c r="E43" s="71"/>
      <c r="F43" s="71"/>
      <c r="G43" s="69"/>
      <c r="H43" s="71"/>
      <c r="I43" s="71"/>
      <c r="J43" s="71"/>
    </row>
    <row r="44" spans="1:10" ht="15.75" thickBot="1">
      <c r="A44" s="14"/>
      <c r="B44" s="14"/>
      <c r="C44" s="50"/>
      <c r="G44" s="44"/>
    </row>
    <row r="45" spans="1:10" ht="30">
      <c r="A45" s="148" t="s">
        <v>45</v>
      </c>
      <c r="B45" s="54"/>
      <c r="C45" s="63"/>
      <c r="D45" s="53"/>
      <c r="E45" s="53"/>
      <c r="F45" s="53"/>
      <c r="G45" s="65"/>
      <c r="H45" s="5" t="s">
        <v>31</v>
      </c>
      <c r="I45" s="6" t="s">
        <v>32</v>
      </c>
      <c r="J45" s="7" t="s">
        <v>33</v>
      </c>
    </row>
    <row r="46" spans="1:10" ht="15.75" thickBot="1">
      <c r="A46" s="56"/>
      <c r="B46" s="135" t="s">
        <v>34</v>
      </c>
      <c r="D46" s="135" t="s">
        <v>35</v>
      </c>
      <c r="F46" s="138" t="s">
        <v>36</v>
      </c>
      <c r="G46" s="44"/>
      <c r="H46" s="8"/>
      <c r="J46" s="9"/>
    </row>
    <row r="47" spans="1:10" ht="30.75" thickBot="1">
      <c r="A47" s="56" t="s">
        <v>46</v>
      </c>
      <c r="B47" s="11"/>
      <c r="D47" s="64"/>
      <c r="F47" s="120">
        <v>5.76</v>
      </c>
      <c r="H47" s="12" t="s">
        <v>38</v>
      </c>
      <c r="I47" s="121">
        <v>0.75</v>
      </c>
      <c r="J47" s="51">
        <f>1-I47</f>
        <v>0.25</v>
      </c>
    </row>
    <row r="48" spans="1:10">
      <c r="A48" s="56"/>
      <c r="B48" s="11"/>
      <c r="D48" s="14"/>
      <c r="H48" s="8"/>
      <c r="I48" s="15">
        <f>(F49+F51)*I47</f>
        <v>262322.09999999998</v>
      </c>
      <c r="J48" s="16">
        <f>(F49+F51)-I48</f>
        <v>87440.700000000012</v>
      </c>
    </row>
    <row r="49" spans="1:10">
      <c r="A49" s="56" t="s">
        <v>39</v>
      </c>
      <c r="B49" s="33">
        <f>$B$9*$B$11</f>
        <v>1290</v>
      </c>
      <c r="D49" s="34">
        <f>($B$9*$B$11*$D$7)+(F47*B11*D7)</f>
        <v>28146.9</v>
      </c>
      <c r="E49" s="35"/>
      <c r="F49" s="33">
        <f>B49*F7+($F$47*$B$11*$F$7)</f>
        <v>337762.8</v>
      </c>
      <c r="H49" s="8"/>
      <c r="J49" s="9"/>
    </row>
    <row r="50" spans="1:10" ht="31.5" customHeight="1" thickBot="1">
      <c r="A50" s="56"/>
      <c r="B50" s="130"/>
      <c r="D50" s="139"/>
      <c r="E50" s="35"/>
      <c r="F50" s="130"/>
      <c r="H50" s="17" t="s">
        <v>10</v>
      </c>
      <c r="I50" s="18" t="s">
        <v>40</v>
      </c>
      <c r="J50" s="19" t="s">
        <v>41</v>
      </c>
    </row>
    <row r="51" spans="1:10" ht="15.75" thickBot="1">
      <c r="A51" s="56" t="s">
        <v>42</v>
      </c>
      <c r="B51" s="130"/>
      <c r="D51" s="115">
        <v>1000</v>
      </c>
      <c r="E51" s="35"/>
      <c r="F51" s="116">
        <f>D51*12</f>
        <v>12000</v>
      </c>
      <c r="H51" s="25">
        <f>B53</f>
        <v>15.240209150326796</v>
      </c>
      <c r="I51" s="26">
        <f>B53*I47</f>
        <v>11.430156862745097</v>
      </c>
      <c r="J51" s="27">
        <f>B53-I51</f>
        <v>3.8100522875816996</v>
      </c>
    </row>
    <row r="52" spans="1:10">
      <c r="A52" s="56"/>
      <c r="J52" s="9"/>
    </row>
    <row r="53" spans="1:10">
      <c r="A53" s="56" t="s">
        <v>20</v>
      </c>
      <c r="B53" s="33">
        <f>(F49+F51)/$F$13</f>
        <v>15.240209150326796</v>
      </c>
      <c r="J53" s="9"/>
    </row>
    <row r="54" spans="1:10">
      <c r="A54" s="56"/>
      <c r="B54" s="130"/>
      <c r="J54" s="9"/>
    </row>
    <row r="55" spans="1:10">
      <c r="A55" s="57" t="s">
        <v>21</v>
      </c>
      <c r="B55" s="46">
        <f>$B$13/$B$11</f>
        <v>15</v>
      </c>
      <c r="J55" s="9"/>
    </row>
    <row r="56" spans="1:10" ht="15.75" thickBot="1">
      <c r="A56" s="47"/>
      <c r="B56" s="61"/>
      <c r="C56" s="61"/>
      <c r="D56" s="61"/>
      <c r="E56" s="61"/>
      <c r="F56" s="61"/>
      <c r="G56" s="61"/>
      <c r="H56" s="74" t="s">
        <v>43</v>
      </c>
      <c r="I56" s="72"/>
      <c r="J56" s="73"/>
    </row>
    <row r="57" spans="1:10">
      <c r="A57" s="14"/>
      <c r="B57" s="14"/>
      <c r="C57" s="50"/>
      <c r="G57" s="44"/>
    </row>
    <row r="58" spans="1:10" ht="23.25">
      <c r="A58" s="75" t="s">
        <v>44</v>
      </c>
      <c r="B58" s="66"/>
      <c r="C58" s="70"/>
      <c r="D58" s="71"/>
      <c r="E58" s="71"/>
      <c r="F58" s="71"/>
      <c r="G58" s="69"/>
      <c r="H58" s="71"/>
      <c r="I58" s="71"/>
      <c r="J58" s="71"/>
    </row>
    <row r="59" spans="1:10" ht="15.75" thickBot="1">
      <c r="A59" s="14"/>
      <c r="B59" s="14"/>
      <c r="C59" s="50"/>
      <c r="G59" s="44"/>
    </row>
    <row r="60" spans="1:10" ht="30.75" customHeight="1">
      <c r="A60" s="148" t="s">
        <v>47</v>
      </c>
      <c r="B60" s="54"/>
      <c r="C60" s="63"/>
      <c r="D60" s="53"/>
      <c r="E60" s="53"/>
      <c r="F60" s="53"/>
      <c r="G60" s="65"/>
      <c r="H60" s="81"/>
      <c r="I60" s="82"/>
      <c r="J60" s="83"/>
    </row>
    <row r="61" spans="1:10">
      <c r="A61" s="56"/>
      <c r="B61" s="135" t="s">
        <v>34</v>
      </c>
      <c r="D61" s="138" t="s">
        <v>35</v>
      </c>
      <c r="F61" s="138" t="s">
        <v>48</v>
      </c>
      <c r="G61" s="44"/>
      <c r="H61" s="84"/>
      <c r="I61" s="140"/>
      <c r="J61" s="85"/>
    </row>
    <row r="62" spans="1:10">
      <c r="A62" s="56" t="s">
        <v>26</v>
      </c>
      <c r="B62" s="86">
        <f>$B$24</f>
        <v>154</v>
      </c>
      <c r="D62" s="88">
        <f>$D$24</f>
        <v>3272.5</v>
      </c>
      <c r="E62" s="141"/>
      <c r="F62" s="89">
        <f>$F$24</f>
        <v>39270</v>
      </c>
      <c r="G62" s="44"/>
      <c r="H62" s="84"/>
      <c r="I62" s="140"/>
      <c r="J62" s="85"/>
    </row>
    <row r="63" spans="1:10">
      <c r="A63" s="56"/>
      <c r="B63" s="42"/>
      <c r="D63" s="142"/>
      <c r="F63" s="143"/>
      <c r="G63" s="44"/>
      <c r="H63" s="84"/>
      <c r="I63" s="140"/>
      <c r="J63" s="85"/>
    </row>
    <row r="64" spans="1:10">
      <c r="A64" s="56" t="s">
        <v>49</v>
      </c>
      <c r="B64" s="87">
        <v>6.3</v>
      </c>
      <c r="D64" s="135"/>
      <c r="F64" s="138"/>
      <c r="G64" s="44"/>
      <c r="H64" s="112" t="s">
        <v>50</v>
      </c>
      <c r="I64" s="140"/>
      <c r="J64" s="85"/>
    </row>
    <row r="65" spans="1:10">
      <c r="A65" s="56"/>
      <c r="B65" s="111"/>
      <c r="D65" s="135"/>
      <c r="F65" s="138"/>
      <c r="G65" s="44"/>
      <c r="H65" s="84"/>
      <c r="I65" s="140"/>
      <c r="J65" s="85"/>
    </row>
    <row r="66" spans="1:10">
      <c r="A66" s="56"/>
      <c r="B66" s="144"/>
      <c r="C66" s="145"/>
      <c r="D66" s="167" t="s">
        <v>51</v>
      </c>
      <c r="E66" s="168"/>
      <c r="F66" s="168"/>
      <c r="G66" s="44"/>
      <c r="H66" s="84"/>
      <c r="I66" s="140"/>
      <c r="J66" s="85"/>
    </row>
    <row r="67" spans="1:10">
      <c r="A67" s="56" t="s">
        <v>52</v>
      </c>
      <c r="B67" s="76">
        <f>B62/B64</f>
        <v>24.444444444444446</v>
      </c>
      <c r="D67" s="88">
        <f>ROUNDUP(D62/B64,-2)</f>
        <v>600</v>
      </c>
      <c r="E67" s="141"/>
      <c r="F67" s="89">
        <f>ROUNDUP(F62/B64,-2)</f>
        <v>6300</v>
      </c>
      <c r="G67" s="44"/>
      <c r="H67" s="84"/>
      <c r="I67" s="140"/>
      <c r="J67" s="85"/>
    </row>
    <row r="68" spans="1:10">
      <c r="A68" s="56"/>
      <c r="B68" s="135"/>
      <c r="D68" s="135"/>
      <c r="F68" s="138"/>
      <c r="G68" s="44"/>
      <c r="H68" s="84"/>
      <c r="I68" s="140"/>
      <c r="J68" s="85"/>
    </row>
    <row r="69" spans="1:10">
      <c r="A69" s="56" t="s">
        <v>53</v>
      </c>
      <c r="B69" s="113">
        <v>5.5</v>
      </c>
      <c r="D69" s="135"/>
      <c r="G69" s="44"/>
      <c r="H69" s="112" t="s">
        <v>54</v>
      </c>
      <c r="I69" s="140"/>
      <c r="J69" s="85"/>
    </row>
    <row r="70" spans="1:10">
      <c r="A70" s="56"/>
      <c r="B70" s="135"/>
      <c r="D70" s="135"/>
      <c r="F70" s="138"/>
      <c r="G70" s="44"/>
      <c r="H70" s="84"/>
      <c r="I70" s="140"/>
      <c r="J70" s="85"/>
    </row>
    <row r="71" spans="1:10">
      <c r="A71" s="56" t="s">
        <v>55</v>
      </c>
      <c r="B71" s="77">
        <f>B69*B67</f>
        <v>134.44444444444446</v>
      </c>
      <c r="D71" s="78">
        <f>B69*D67</f>
        <v>3300</v>
      </c>
      <c r="F71" s="79">
        <f>ROUNDUP(F67*B69,-2)</f>
        <v>34700</v>
      </c>
      <c r="G71" s="44"/>
      <c r="H71" s="84"/>
      <c r="I71" s="140"/>
      <c r="J71" s="85"/>
    </row>
    <row r="72" spans="1:10">
      <c r="A72" s="56"/>
      <c r="B72" s="135"/>
      <c r="D72" s="135"/>
      <c r="F72" s="138"/>
      <c r="G72" s="44"/>
      <c r="H72" s="84"/>
      <c r="I72" s="140"/>
      <c r="J72" s="85"/>
    </row>
    <row r="73" spans="1:10" ht="30">
      <c r="A73" s="57" t="s">
        <v>56</v>
      </c>
      <c r="B73" s="122">
        <v>0.1</v>
      </c>
      <c r="D73" s="135"/>
      <c r="F73" s="138"/>
      <c r="G73" s="44"/>
      <c r="H73" s="161" t="s">
        <v>57</v>
      </c>
      <c r="I73" s="162"/>
      <c r="J73" s="163"/>
    </row>
    <row r="74" spans="1:10" ht="15.75" thickBot="1">
      <c r="A74" s="8"/>
      <c r="D74" s="135"/>
      <c r="G74" s="44"/>
      <c r="H74" s="84"/>
      <c r="I74" s="140"/>
      <c r="J74" s="85"/>
    </row>
    <row r="75" spans="1:10" ht="30">
      <c r="A75" s="57" t="s">
        <v>58</v>
      </c>
      <c r="B75" s="77">
        <f>B73*B71</f>
        <v>13.444444444444446</v>
      </c>
      <c r="D75" s="77">
        <f>B73*D71</f>
        <v>330</v>
      </c>
      <c r="F75" s="80">
        <f>F71*B73</f>
        <v>3470</v>
      </c>
      <c r="G75" s="44"/>
      <c r="H75" s="5" t="s">
        <v>31</v>
      </c>
      <c r="I75" s="6" t="s">
        <v>32</v>
      </c>
      <c r="J75" s="7" t="s">
        <v>33</v>
      </c>
    </row>
    <row r="76" spans="1:10" ht="15.75" thickBot="1">
      <c r="A76" s="56"/>
      <c r="B76" s="135"/>
      <c r="D76" s="135"/>
      <c r="F76" s="138"/>
      <c r="G76" s="44"/>
      <c r="H76" s="8"/>
      <c r="J76" s="9"/>
    </row>
    <row r="77" spans="1:10" ht="30.75" thickBot="1">
      <c r="A77" s="146"/>
      <c r="B77" s="147" t="s">
        <v>59</v>
      </c>
      <c r="D77" s="64"/>
      <c r="F77" s="64"/>
      <c r="H77" s="12" t="s">
        <v>38</v>
      </c>
      <c r="I77" s="13">
        <v>0.75</v>
      </c>
      <c r="J77" s="51">
        <f>1-I77</f>
        <v>0.25</v>
      </c>
    </row>
    <row r="78" spans="1:10">
      <c r="A78" s="56"/>
      <c r="B78" s="11"/>
      <c r="D78" s="14"/>
      <c r="H78" s="8"/>
      <c r="I78" s="15">
        <f>(F79+F81)*I77</f>
        <v>258315</v>
      </c>
      <c r="J78" s="16">
        <f>(F79+F81)-I78</f>
        <v>86105</v>
      </c>
    </row>
    <row r="79" spans="1:10">
      <c r="A79" s="56" t="s">
        <v>39</v>
      </c>
      <c r="B79" s="33">
        <f>($B$9*$B$11)+(B75)</f>
        <v>1303.4444444444443</v>
      </c>
      <c r="D79" s="34">
        <f>($B$9*$B$11*$D$7)+(D75)</f>
        <v>27742.5</v>
      </c>
      <c r="E79" s="35"/>
      <c r="F79" s="34">
        <f>($B$9*$B$11*$F$7)+(F75)</f>
        <v>332420</v>
      </c>
      <c r="H79" s="8"/>
      <c r="J79" s="9"/>
    </row>
    <row r="80" spans="1:10" ht="45.75" thickBot="1">
      <c r="A80" s="56"/>
      <c r="B80" s="130"/>
      <c r="D80" s="139"/>
      <c r="E80" s="35"/>
      <c r="F80" s="130"/>
      <c r="H80" s="17" t="s">
        <v>10</v>
      </c>
      <c r="I80" s="18" t="s">
        <v>40</v>
      </c>
      <c r="J80" s="19" t="s">
        <v>41</v>
      </c>
    </row>
    <row r="81" spans="1:10" ht="15.75" thickBot="1">
      <c r="A81" s="56" t="s">
        <v>42</v>
      </c>
      <c r="B81" s="130"/>
      <c r="D81" s="115">
        <v>1000</v>
      </c>
      <c r="E81" s="35"/>
      <c r="F81" s="116">
        <f>D81*12</f>
        <v>12000</v>
      </c>
      <c r="H81" s="25">
        <f>B83</f>
        <v>15.007407407407408</v>
      </c>
      <c r="I81" s="26">
        <f>B83*I77</f>
        <v>11.255555555555556</v>
      </c>
      <c r="J81" s="27">
        <f>B83-I81</f>
        <v>3.7518518518518515</v>
      </c>
    </row>
    <row r="82" spans="1:10">
      <c r="A82" s="56"/>
      <c r="J82" s="9"/>
    </row>
    <row r="83" spans="1:10">
      <c r="A83" s="56" t="s">
        <v>20</v>
      </c>
      <c r="B83" s="33">
        <f>(F79+F81)/$F$13</f>
        <v>15.007407407407408</v>
      </c>
      <c r="J83" s="9"/>
    </row>
    <row r="84" spans="1:10">
      <c r="A84" s="56"/>
      <c r="B84" s="130"/>
      <c r="J84" s="9"/>
    </row>
    <row r="85" spans="1:10">
      <c r="A85" s="57" t="s">
        <v>21</v>
      </c>
      <c r="B85" s="46">
        <f>$B$13/$B$11</f>
        <v>15</v>
      </c>
      <c r="J85" s="9"/>
    </row>
    <row r="86" spans="1:10" ht="15.75" thickBot="1">
      <c r="A86" s="47"/>
      <c r="B86" s="61"/>
      <c r="C86" s="61"/>
      <c r="D86" s="61"/>
      <c r="E86" s="61"/>
      <c r="F86" s="61"/>
      <c r="G86" s="61"/>
      <c r="H86" s="61"/>
      <c r="I86" s="61"/>
      <c r="J86" s="62"/>
    </row>
  </sheetData>
  <mergeCells count="6">
    <mergeCell ref="H13:J14"/>
    <mergeCell ref="D9:F9"/>
    <mergeCell ref="H73:J73"/>
    <mergeCell ref="H20:J20"/>
    <mergeCell ref="H22:J22"/>
    <mergeCell ref="D66:F66"/>
  </mergeCells>
  <pageMargins left="0.7" right="0.7" top="0.75" bottom="0.75" header="0.3" footer="0.3"/>
  <pageSetup scale="75" orientation="landscape" r:id="rId1"/>
  <headerFooter>
    <oddFooter>&amp;R&amp;P</oddFooter>
  </headerFooter>
  <rowBreaks count="2" manualBreakCount="2">
    <brk id="29" max="9" man="1"/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B38B0E-11A1-4A59-ACBA-7A0EE4BE090F}"/>
</file>

<file path=customXml/itemProps2.xml><?xml version="1.0" encoding="utf-8"?>
<ds:datastoreItem xmlns:ds="http://schemas.openxmlformats.org/officeDocument/2006/customXml" ds:itemID="{838B5F1E-1085-47E9-BB57-77B5B366C85F}"/>
</file>

<file path=customXml/itemProps3.xml><?xml version="1.0" encoding="utf-8"?>
<ds:datastoreItem xmlns:ds="http://schemas.openxmlformats.org/officeDocument/2006/customXml" ds:itemID="{64CB48F7-2095-414F-B6D6-A13039C6D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SMCTD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SMCTD</dc:creator>
  <cp:keywords/>
  <dc:description/>
  <cp:lastModifiedBy/>
  <cp:revision/>
  <dcterms:created xsi:type="dcterms:W3CDTF">2023-01-06T22:06:28Z</dcterms:created>
  <dcterms:modified xsi:type="dcterms:W3CDTF">2025-01-11T02:47:17Z</dcterms:modified>
  <cp:category/>
  <cp:contentStatus/>
</cp:coreProperties>
</file>